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.friedlander/SugarCRM Dropbox/Brand &amp; Content/Brand &amp; Content Projects/Resources/Resources - Interactive/Cost of Inaction (COI) Calculator/"/>
    </mc:Choice>
  </mc:AlternateContent>
  <xr:revisionPtr revIDLastSave="0" documentId="13_ncr:1_{A72E06CA-F7B7-A940-A30B-91683AFF9E88}" xr6:coauthVersionLast="47" xr6:coauthVersionMax="47" xr10:uidLastSave="{00000000-0000-0000-0000-000000000000}"/>
  <bookViews>
    <workbookView xWindow="-30300" yWindow="1780" windowWidth="27660" windowHeight="31440" xr2:uid="{7877D83D-B82B-4351-8A5B-A6A10DA8BD4B}"/>
  </bookViews>
  <sheets>
    <sheet name="Rechn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2" l="1"/>
  <c r="C64" i="2"/>
  <c r="C63" i="2"/>
  <c r="C62" i="2"/>
  <c r="C54" i="2"/>
  <c r="C66" i="2" s="1"/>
  <c r="C44" i="2"/>
  <c r="C29" i="2"/>
  <c r="C33" i="2" s="1"/>
  <c r="D16" i="2"/>
  <c r="C16" i="2"/>
  <c r="D13" i="2"/>
  <c r="C13" i="2"/>
  <c r="C17" i="2" s="1"/>
  <c r="C19" i="2" s="1"/>
  <c r="C21" i="2" s="1"/>
  <c r="C23" i="2" s="1"/>
  <c r="D17" i="2" l="1"/>
  <c r="D19" i="2" s="1"/>
  <c r="D21" i="2" s="1"/>
  <c r="D23" i="2" s="1"/>
  <c r="C72" i="2"/>
  <c r="C34" i="2"/>
  <c r="C65" i="2"/>
  <c r="C71" i="2" s="1"/>
  <c r="C45" i="2"/>
  <c r="C73" i="2"/>
  <c r="C67" i="2"/>
  <c r="C74" i="2" l="1"/>
  <c r="C78" i="2" s="1"/>
  <c r="C79" i="2" s="1"/>
</calcChain>
</file>

<file path=xl/sharedStrings.xml><?xml version="1.0" encoding="utf-8"?>
<sst xmlns="http://schemas.openxmlformats.org/spreadsheetml/2006/main" count="72" uniqueCount="65">
  <si>
    <t>Sugar Sell Advanced</t>
  </si>
  <si>
    <t>Sugar Sell Premier</t>
  </si>
  <si>
    <t xml:space="preserve">****Note: Consider Rep, Ops, IT, and management time and hours required. </t>
  </si>
  <si>
    <t>Cost of Inaction Rechner - Vertriebsautomatisierung</t>
  </si>
  <si>
    <t>Name Ihres Unternehmens:</t>
  </si>
  <si>
    <t xml:space="preserve">Ausgefüllt am: </t>
  </si>
  <si>
    <t>ARBEITSBLATT</t>
  </si>
  <si>
    <t>KOSTEN FÜR NEUE SOFTWARE</t>
  </si>
  <si>
    <t>Basis-Lizenzkosten pro Benutzer pro Monat</t>
  </si>
  <si>
    <t>Anzahl der Benutzer</t>
  </si>
  <si>
    <t>Basis-Kosten für alle Benutzer pro Monat</t>
  </si>
  <si>
    <t>Sonstige Kosten (z.B. Dienstleistungen, Integrationen usw.) - Jährlich wiederkehrend</t>
  </si>
  <si>
    <t>Erforderliche Schulungs- und Adoptionsstunden pro Vertriebsmitarbeiter (im 1. Jahr)</t>
  </si>
  <si>
    <t>Adoptionskosten</t>
  </si>
  <si>
    <t>Gesamtpreis im 1. Jahr</t>
  </si>
  <si>
    <t>Rabatt</t>
  </si>
  <si>
    <t>1-Jahres-Preis mit Rabatt</t>
  </si>
  <si>
    <t>Zusätzlicher 3-Jahres-Rabatt</t>
  </si>
  <si>
    <t>Gesamtkosten über 3 Jahre mit Rabatt</t>
  </si>
  <si>
    <t>Sonstige Gebühren</t>
  </si>
  <si>
    <t>Gesamtkosten über 3 Jahre</t>
  </si>
  <si>
    <t>BISHERIGE KOSTEN - LIZENZEN, ABONNEMENTS &amp; GEBÜHREN</t>
  </si>
  <si>
    <t>Aktuelle Lösung</t>
  </si>
  <si>
    <t>Sonstige Kosten (z.B. Dienstleistungen, Add-ons, Plug-ins, Integrationen usw.) - Jährlich wiederkehrend</t>
  </si>
  <si>
    <t>Gebühren (Speicher, APIs, Überschreitungen usw.) - Jährliche Kosten</t>
  </si>
  <si>
    <t>Jährliche Wartungskosten</t>
  </si>
  <si>
    <t>Gesamtpreis pro Jahr, einschließlich Steuern und Gebühren</t>
  </si>
  <si>
    <t>BISHERIGE KOSTEN - PERSONAL &amp; ZEIT</t>
  </si>
  <si>
    <t>Durchschnittliches Gehalt eines Vertriebsleiters/Vorstands pro Stunde</t>
  </si>
  <si>
    <t>Anzahl der Vertriebsleiter/Vorstände</t>
  </si>
  <si>
    <t>Anzahl der Vertriebsmitarbeiter</t>
  </si>
  <si>
    <t>Durchschnittliches Gehalt eines Vertriebsmitarbeiters pro Stunde</t>
  </si>
  <si>
    <t>Durchschnittliche Stunden im System pro Monat - Vertriebsmitarbeiter</t>
  </si>
  <si>
    <t>Durchschnittliche Stunden im System pro Monat - Vorstände</t>
  </si>
  <si>
    <t>Monatliche Gesamtkosten der Arbeitszeit - Vertriebsleiter/Vorstände</t>
  </si>
  <si>
    <t>Aktueller Stand</t>
  </si>
  <si>
    <t>Aktueller Umsatz</t>
  </si>
  <si>
    <t>Aktuelle Gewinnrate bei Neukunden</t>
  </si>
  <si>
    <t>Aktuelle Abschlussrate von Verkaufschancen</t>
  </si>
  <si>
    <t>Aktuelles Lead-Volumen pro Monat</t>
  </si>
  <si>
    <t>Durchschnittliche wöchentliche Zeit eines Vertriebsmitarbeiters im CRM (in Stunden)</t>
  </si>
  <si>
    <t>Durchschnittliche Kosten der monatlichen Zeit eines Vertriebsmitarbeiters im CRM</t>
  </si>
  <si>
    <t>Erforderliche Schulungsstunden für den CRM-Anbieterwechsel****</t>
  </si>
  <si>
    <t>ERGEBNISSE</t>
  </si>
  <si>
    <t>EINSPARUNGEN &amp; VERBESSERUNGEN</t>
  </si>
  <si>
    <t>VORTEILE DES HANDELNS</t>
  </si>
  <si>
    <t>Neue Gewinnrate für Neukunden*</t>
  </si>
  <si>
    <t>* Basierend auf den Ergebnissen eines großen Luftfahrtkunden (+30%)</t>
  </si>
  <si>
    <t>Abschlussrate von Verkaufschancen**</t>
  </si>
  <si>
    <t>** Siehe https://www.sugarcrm.com/customer-breakthrough-awards/ für Kundenerfolgsgeschichten &amp; Statistiken.</t>
  </si>
  <si>
    <t>Potenzielle Umsatzsteigerung</t>
  </si>
  <si>
    <t>*** Siehe Nucleus' SugarCRM ROI Financial Assessment Tool (2023) für verifizierte Zahlen, 15% Einsparungen bei Vertriebsmitarbeitern, 25% Einsparungen bei Managern werden angenommen.</t>
  </si>
  <si>
    <t>Produktivitätsgewinne - Vertriebsleiter/Vorstände (Pro Jahr)***</t>
  </si>
  <si>
    <t>Produktivitätsgewinne - Vertriebsmitarbeiter (Pro Jahr)***</t>
  </si>
  <si>
    <t>Gesamteinsparungen (Pro Jahr)</t>
  </si>
  <si>
    <t>KOSTEN DES NICHTSTUNS PRO JAHR</t>
  </si>
  <si>
    <t>JÄHRLICHER VERLUST</t>
  </si>
  <si>
    <t>Kosten durch reduzierte Produktivität (Vertriebsmitarbeiter &amp; -führungskräfte)</t>
  </si>
  <si>
    <t>Lizenzkosten der aktuellen Lösung im Vergleich zu einem Wechsel zu Sell Premier</t>
  </si>
  <si>
    <t>Entgangener Umsatz</t>
  </si>
  <si>
    <t>KOSTEN FÜR DEN WECHSEL VS. KOSTEN DES NICHTSTUNS (ÜBER 3 JAHRE) *</t>
  </si>
  <si>
    <t>NETTOVERLUST IN 3 JAHREN</t>
  </si>
  <si>
    <t>Schulungs-/Wechselkosten - 1. Jahr*</t>
  </si>
  <si>
    <t>Kosten des Nichtstuns abzüglich Schulungs-/Wechselkosten</t>
  </si>
  <si>
    <t>Kosten des Nichtstuns über 3 Jahre abzüglich Wechselkosten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</si>
</sst>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dd\.mm\.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70AD47"/>
      <name val="Arial"/>
      <family val="2"/>
    </font>
    <font>
      <sz val="12"/>
      <color theme="0"/>
      <name val="Arial"/>
      <family val="2"/>
    </font>
    <font>
      <b/>
      <sz val="12"/>
      <color rgb="FFC40075"/>
      <name val="Arial"/>
      <family val="2"/>
    </font>
    <font>
      <b/>
      <sz val="24"/>
      <color theme="1"/>
      <name val="Arial Black"/>
      <family val="2"/>
    </font>
    <font>
      <b/>
      <sz val="16"/>
      <color theme="1"/>
      <name val="Arial Black"/>
      <family val="2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24"/>
      <color rgb="FF003865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A4D233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E35205"/>
        <bgColor indexed="64"/>
      </patternFill>
    </fill>
    <fill>
      <patternFill patternType="solid">
        <fgColor rgb="FFC40075"/>
        <bgColor indexed="64"/>
      </patternFill>
    </fill>
    <fill>
      <patternFill patternType="solid">
        <fgColor rgb="FF490F3F"/>
        <bgColor indexed="64"/>
      </patternFill>
    </fill>
    <fill>
      <patternFill patternType="solid">
        <fgColor rgb="FF079973"/>
        <bgColor indexed="64"/>
      </patternFill>
    </fill>
    <fill>
      <patternFill patternType="solid">
        <fgColor rgb="FF004F51"/>
        <bgColor indexed="64"/>
      </patternFill>
    </fill>
    <fill>
      <patternFill patternType="solid">
        <fgColor rgb="FF007DB9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00386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0D3D4"/>
      </left>
      <right/>
      <top style="thin">
        <color rgb="FFD0D3D4"/>
      </top>
      <bottom style="thin">
        <color rgb="FFD0D3D4"/>
      </bottom>
      <diagonal/>
    </border>
    <border>
      <left/>
      <right style="thin">
        <color rgb="FFD0D3D4"/>
      </right>
      <top style="thin">
        <color rgb="FFD0D3D4"/>
      </top>
      <bottom style="thin">
        <color rgb="FFD0D3D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D0D3D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D0D3D4"/>
      </top>
      <bottom style="thin">
        <color rgb="FFD0D3D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12" fillId="0" borderId="1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9" fillId="0" borderId="1" xfId="0" applyFont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1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1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4" fontId="5" fillId="4" borderId="1" xfId="1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44" fontId="5" fillId="3" borderId="1" xfId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8" fillId="3" borderId="1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4" fontId="8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4" fontId="5" fillId="6" borderId="1" xfId="1" applyFont="1" applyFill="1" applyBorder="1" applyAlignment="1">
      <alignment horizontal="left" vertical="center" wrapText="1"/>
    </xf>
    <xf numFmtId="44" fontId="5" fillId="3" borderId="1" xfId="1" applyFont="1" applyFill="1" applyBorder="1" applyAlignment="1" applyProtection="1">
      <alignment horizontal="left" vertical="center" wrapText="1"/>
      <protection locked="0"/>
    </xf>
    <xf numFmtId="44" fontId="5" fillId="4" borderId="1" xfId="1" applyFont="1" applyFill="1" applyBorder="1" applyAlignment="1" applyProtection="1">
      <alignment horizontal="left" vertical="center" wrapText="1"/>
      <protection locked="0"/>
    </xf>
    <xf numFmtId="4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44" fontId="15" fillId="9" borderId="1" xfId="0" applyNumberFormat="1" applyFont="1" applyFill="1" applyBorder="1" applyAlignment="1">
      <alignment horizontal="right" vertical="center" wrapText="1"/>
    </xf>
    <xf numFmtId="44" fontId="15" fillId="9" borderId="1" xfId="1" applyFont="1" applyFill="1" applyBorder="1" applyAlignment="1" applyProtection="1">
      <alignment horizontal="left" vertical="center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1" applyNumberFormat="1" applyFont="1" applyFill="1" applyBorder="1" applyAlignment="1" applyProtection="1">
      <alignment horizontal="right" vertical="center" wrapText="1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44" fontId="15" fillId="14" borderId="1" xfId="1" applyFont="1" applyFill="1" applyBorder="1" applyAlignment="1">
      <alignment horizontal="left" vertical="center" wrapText="1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44" fontId="11" fillId="14" borderId="1" xfId="1" applyFont="1" applyFill="1" applyBorder="1" applyAlignment="1">
      <alignment horizontal="left" vertical="center" wrapText="1"/>
    </xf>
    <xf numFmtId="9" fontId="11" fillId="14" borderId="1" xfId="2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2" fillId="0" borderId="4" xfId="0" applyFont="1" applyBorder="1"/>
    <xf numFmtId="0" fontId="9" fillId="0" borderId="5" xfId="0" applyFont="1" applyBorder="1" applyProtection="1">
      <protection locked="0"/>
    </xf>
    <xf numFmtId="0" fontId="2" fillId="0" borderId="2" xfId="0" applyFont="1" applyBorder="1"/>
    <xf numFmtId="0" fontId="2" fillId="0" borderId="8" xfId="0" applyFont="1" applyBorder="1"/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 wrapText="1"/>
      <protection locked="0"/>
    </xf>
    <xf numFmtId="9" fontId="15" fillId="11" borderId="1" xfId="0" applyNumberFormat="1" applyFont="1" applyFill="1" applyBorder="1" applyAlignment="1">
      <alignment horizontal="right" vertical="center" wrapText="1"/>
    </xf>
    <xf numFmtId="44" fontId="15" fillId="11" borderId="1" xfId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9" fontId="16" fillId="4" borderId="1" xfId="2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9" fontId="14" fillId="0" borderId="1" xfId="0" applyNumberFormat="1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165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15" fillId="11" borderId="1" xfId="1" applyNumberFormat="1" applyFont="1" applyFill="1" applyBorder="1" applyAlignment="1" applyProtection="1">
      <alignment horizontal="right" vertical="center" wrapText="1"/>
    </xf>
    <xf numFmtId="44" fontId="15" fillId="9" borderId="1" xfId="1" applyFont="1" applyFill="1" applyBorder="1" applyAlignment="1" applyProtection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0" fillId="12" borderId="1" xfId="0" applyNumberFormat="1" applyFont="1" applyFill="1" applyBorder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 vertical="center" wrapText="1"/>
    </xf>
    <xf numFmtId="165" fontId="20" fillId="7" borderId="1" xfId="0" applyNumberFormat="1" applyFont="1" applyFill="1" applyBorder="1" applyAlignment="1">
      <alignment vertical="center" wrapText="1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164" fontId="19" fillId="1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865"/>
      <color rgb="FF009CDE"/>
      <color rgb="FFD0D3D4"/>
      <color rgb="FFC40075"/>
      <color rgb="FFE8E8E8"/>
      <color rgb="FF007DB9"/>
      <color rgb="FF004F51"/>
      <color rgb="FF079973"/>
      <color rgb="FF490F3F"/>
      <color rgb="FFE35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297656</xdr:rowOff>
    </xdr:from>
    <xdr:to>
      <xdr:col>1</xdr:col>
      <xdr:colOff>2008567</xdr:colOff>
      <xdr:row>1</xdr:row>
      <xdr:rowOff>654842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9D18DA3-121F-4F8D-80EA-340DBC5F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431006"/>
          <a:ext cx="1913318" cy="357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864E-5FAF-4CE0-8103-D18A201976CD}">
  <dimension ref="A1:E83"/>
  <sheetViews>
    <sheetView tabSelected="1" zoomScale="80" zoomScaleNormal="80" workbookViewId="0">
      <selection activeCell="E16" sqref="E16"/>
    </sheetView>
  </sheetViews>
  <sheetFormatPr baseColWidth="10" defaultColWidth="8.83203125" defaultRowHeight="14" x14ac:dyDescent="0.15"/>
  <cols>
    <col min="1" max="1" width="8.83203125" style="2"/>
    <col min="2" max="2" width="71.83203125" style="2" customWidth="1"/>
    <col min="3" max="3" width="37.5" style="2" customWidth="1"/>
    <col min="4" max="4" width="25.33203125" style="2" customWidth="1"/>
    <col min="5" max="5" width="75.5" style="2" customWidth="1"/>
    <col min="6" max="6" width="60.33203125" style="2" customWidth="1"/>
    <col min="7" max="16384" width="8.83203125" style="2"/>
  </cols>
  <sheetData>
    <row r="1" spans="1:5" s="1" customFormat="1" ht="11" x14ac:dyDescent="0.15"/>
    <row r="2" spans="1:5" s="1" customFormat="1" ht="60" customHeight="1" x14ac:dyDescent="0.15"/>
    <row r="3" spans="1:5" s="44" customFormat="1" ht="36" x14ac:dyDescent="0.5">
      <c r="B3" s="88" t="s">
        <v>3</v>
      </c>
    </row>
    <row r="4" spans="1:5" s="1" customFormat="1" ht="11" x14ac:dyDescent="0.15">
      <c r="A4" s="49"/>
      <c r="B4" s="47"/>
      <c r="C4" s="50"/>
      <c r="D4" s="47"/>
    </row>
    <row r="5" spans="1:5" ht="25" customHeight="1" x14ac:dyDescent="0.2">
      <c r="A5" s="45"/>
      <c r="B5" s="51" t="s">
        <v>4</v>
      </c>
      <c r="C5" s="89"/>
      <c r="D5" s="90"/>
      <c r="E5" s="46"/>
    </row>
    <row r="6" spans="1:5" ht="6.75" customHeight="1" x14ac:dyDescent="0.2">
      <c r="A6" s="45"/>
      <c r="B6" s="51"/>
      <c r="C6" s="53"/>
      <c r="D6" s="53"/>
      <c r="E6" s="9"/>
    </row>
    <row r="7" spans="1:5" ht="25" customHeight="1" x14ac:dyDescent="0.2">
      <c r="A7" s="45"/>
      <c r="B7" s="52" t="s">
        <v>5</v>
      </c>
      <c r="C7" s="91"/>
      <c r="D7" s="92"/>
      <c r="E7" s="46"/>
    </row>
    <row r="8" spans="1:5" ht="25" customHeight="1" x14ac:dyDescent="0.2">
      <c r="B8" s="48"/>
      <c r="C8" s="48"/>
      <c r="D8" s="48"/>
      <c r="E8" s="9"/>
    </row>
    <row r="9" spans="1:5" ht="30" customHeight="1" x14ac:dyDescent="0.15">
      <c r="B9" s="57" t="s">
        <v>6</v>
      </c>
      <c r="C9" s="58"/>
      <c r="D9" s="58"/>
    </row>
    <row r="10" spans="1:5" ht="30" customHeight="1" x14ac:dyDescent="0.2">
      <c r="A10" s="9"/>
      <c r="B10" s="37" t="s">
        <v>7</v>
      </c>
      <c r="C10" s="37" t="s">
        <v>0</v>
      </c>
      <c r="D10" s="37" t="s">
        <v>1</v>
      </c>
    </row>
    <row r="11" spans="1:5" ht="30" customHeight="1" x14ac:dyDescent="0.2">
      <c r="A11" s="9"/>
      <c r="B11" s="10" t="s">
        <v>8</v>
      </c>
      <c r="C11" s="28">
        <v>85</v>
      </c>
      <c r="D11" s="28">
        <v>135</v>
      </c>
    </row>
    <row r="12" spans="1:5" ht="30" customHeight="1" x14ac:dyDescent="0.2">
      <c r="A12" s="9"/>
      <c r="B12" s="16" t="s">
        <v>9</v>
      </c>
      <c r="C12" s="30">
        <v>50</v>
      </c>
      <c r="D12" s="30">
        <v>50</v>
      </c>
      <c r="E12" s="3"/>
    </row>
    <row r="13" spans="1:5" s="4" customFormat="1" ht="30" customHeight="1" x14ac:dyDescent="0.15">
      <c r="A13" s="79"/>
      <c r="B13" s="39" t="s">
        <v>10</v>
      </c>
      <c r="C13" s="40">
        <f>C11*C12</f>
        <v>4250</v>
      </c>
      <c r="D13" s="40">
        <f>D11*D12</f>
        <v>6750</v>
      </c>
      <c r="E13" s="3"/>
    </row>
    <row r="14" spans="1:5" ht="30" customHeight="1" x14ac:dyDescent="0.2">
      <c r="A14" s="9"/>
      <c r="B14" s="16" t="s">
        <v>11</v>
      </c>
      <c r="C14" s="29">
        <v>20000</v>
      </c>
      <c r="D14" s="29">
        <v>10000</v>
      </c>
      <c r="E14" s="3"/>
    </row>
    <row r="15" spans="1:5" ht="30" customHeight="1" x14ac:dyDescent="0.2">
      <c r="A15" s="9"/>
      <c r="B15" s="10" t="s">
        <v>12</v>
      </c>
      <c r="C15" s="14">
        <v>40</v>
      </c>
      <c r="D15" s="14">
        <v>40</v>
      </c>
      <c r="E15" s="5"/>
    </row>
    <row r="16" spans="1:5" ht="30" customHeight="1" x14ac:dyDescent="0.2">
      <c r="A16" s="9"/>
      <c r="B16" s="16" t="s">
        <v>13</v>
      </c>
      <c r="C16" s="38">
        <f>(C15*C12)*C41</f>
        <v>160000</v>
      </c>
      <c r="D16" s="38">
        <f>(D15*D12)*C38</f>
        <v>300000</v>
      </c>
    </row>
    <row r="17" spans="1:4" ht="30" customHeight="1" x14ac:dyDescent="0.2">
      <c r="A17" s="9"/>
      <c r="B17" s="22" t="s">
        <v>14</v>
      </c>
      <c r="C17" s="23">
        <f>SUM(C13+C16)+C13*12</f>
        <v>215250</v>
      </c>
      <c r="D17" s="23">
        <f>SUM(D14:D16)+(D13*12)</f>
        <v>391040</v>
      </c>
    </row>
    <row r="18" spans="1:4" ht="30" customHeight="1" x14ac:dyDescent="0.2">
      <c r="A18" s="9"/>
      <c r="B18" s="59" t="s">
        <v>15</v>
      </c>
      <c r="C18" s="60">
        <v>0.1</v>
      </c>
      <c r="D18" s="60">
        <v>0.15</v>
      </c>
    </row>
    <row r="19" spans="1:4" ht="30" customHeight="1" x14ac:dyDescent="0.2">
      <c r="A19" s="9"/>
      <c r="B19" s="41" t="s">
        <v>16</v>
      </c>
      <c r="C19" s="42">
        <f>C17-(C17*C18)</f>
        <v>193725</v>
      </c>
      <c r="D19" s="42">
        <f>D17-(D17*D18)</f>
        <v>332384</v>
      </c>
    </row>
    <row r="20" spans="1:4" ht="30" customHeight="1" x14ac:dyDescent="0.2">
      <c r="A20" s="9"/>
      <c r="B20" s="41" t="s">
        <v>17</v>
      </c>
      <c r="C20" s="43">
        <v>0.1</v>
      </c>
      <c r="D20" s="43">
        <v>0.1</v>
      </c>
    </row>
    <row r="21" spans="1:4" ht="30" customHeight="1" x14ac:dyDescent="0.2">
      <c r="A21" s="9"/>
      <c r="B21" s="22" t="s">
        <v>18</v>
      </c>
      <c r="C21" s="23">
        <f>((C19)-C19*C20) *3</f>
        <v>523057.5</v>
      </c>
      <c r="D21" s="23">
        <f>((D19)-D19*D20)*3</f>
        <v>897436.79999999993</v>
      </c>
    </row>
    <row r="22" spans="1:4" ht="30" customHeight="1" x14ac:dyDescent="0.2">
      <c r="A22" s="9"/>
      <c r="B22" s="16" t="s">
        <v>19</v>
      </c>
      <c r="C22" s="29">
        <v>0</v>
      </c>
      <c r="D22" s="29">
        <v>0</v>
      </c>
    </row>
    <row r="23" spans="1:4" ht="30" customHeight="1" x14ac:dyDescent="0.2">
      <c r="A23" s="9"/>
      <c r="B23" s="86" t="s">
        <v>20</v>
      </c>
      <c r="C23" s="87">
        <f>SUM(C21:C22)</f>
        <v>523057.5</v>
      </c>
      <c r="D23" s="87">
        <f>SUM(D21:D22)</f>
        <v>897436.79999999993</v>
      </c>
    </row>
    <row r="24" spans="1:4" ht="30" customHeight="1" x14ac:dyDescent="0.2">
      <c r="A24" s="9"/>
      <c r="B24" s="80"/>
      <c r="C24" s="66"/>
      <c r="D24" s="66"/>
    </row>
    <row r="25" spans="1:4" ht="30" customHeight="1" x14ac:dyDescent="0.2">
      <c r="A25" s="9"/>
      <c r="B25" s="62"/>
      <c r="C25" s="63"/>
      <c r="D25" s="63"/>
    </row>
    <row r="26" spans="1:4" ht="30" customHeight="1" x14ac:dyDescent="0.2">
      <c r="A26" s="9"/>
      <c r="B26" s="37" t="s">
        <v>21</v>
      </c>
      <c r="C26" s="37" t="s">
        <v>22</v>
      </c>
      <c r="D26" s="66"/>
    </row>
    <row r="27" spans="1:4" ht="30" customHeight="1" x14ac:dyDescent="0.2">
      <c r="A27" s="9"/>
      <c r="B27" s="10" t="s">
        <v>8</v>
      </c>
      <c r="C27" s="28">
        <v>150</v>
      </c>
      <c r="D27" s="66"/>
    </row>
    <row r="28" spans="1:4" ht="30" customHeight="1" x14ac:dyDescent="0.2">
      <c r="A28" s="9"/>
      <c r="B28" s="16" t="s">
        <v>9</v>
      </c>
      <c r="C28" s="30">
        <v>50</v>
      </c>
      <c r="D28" s="66"/>
    </row>
    <row r="29" spans="1:4" ht="30" customHeight="1" x14ac:dyDescent="0.2">
      <c r="A29" s="9"/>
      <c r="B29" s="26" t="s">
        <v>10</v>
      </c>
      <c r="C29" s="27">
        <f>C27*C28</f>
        <v>7500</v>
      </c>
      <c r="D29" s="66"/>
    </row>
    <row r="30" spans="1:4" ht="30" customHeight="1" x14ac:dyDescent="0.2">
      <c r="A30" s="9"/>
      <c r="B30" s="16" t="s">
        <v>23</v>
      </c>
      <c r="C30" s="29">
        <v>20000</v>
      </c>
      <c r="D30" s="66"/>
    </row>
    <row r="31" spans="1:4" ht="30" customHeight="1" x14ac:dyDescent="0.2">
      <c r="A31" s="9"/>
      <c r="B31" s="10" t="s">
        <v>24</v>
      </c>
      <c r="C31" s="28">
        <v>100000</v>
      </c>
      <c r="D31" s="66"/>
    </row>
    <row r="32" spans="1:4" ht="30" customHeight="1" x14ac:dyDescent="0.2">
      <c r="A32" s="9"/>
      <c r="B32" s="64" t="s">
        <v>25</v>
      </c>
      <c r="C32" s="65">
        <v>0</v>
      </c>
      <c r="D32" s="81"/>
    </row>
    <row r="33" spans="1:4" ht="30" customHeight="1" x14ac:dyDescent="0.2">
      <c r="A33" s="9"/>
      <c r="B33" s="22" t="s">
        <v>26</v>
      </c>
      <c r="C33" s="23">
        <f>SUM(C30:C32)+C29*12</f>
        <v>210000</v>
      </c>
      <c r="D33" s="81"/>
    </row>
    <row r="34" spans="1:4" ht="30" customHeight="1" x14ac:dyDescent="0.2">
      <c r="A34" s="9"/>
      <c r="B34" s="7" t="s">
        <v>20</v>
      </c>
      <c r="C34" s="82">
        <f>C33*3</f>
        <v>630000</v>
      </c>
      <c r="D34" s="66"/>
    </row>
    <row r="35" spans="1:4" ht="30" customHeight="1" x14ac:dyDescent="0.2">
      <c r="A35" s="9"/>
      <c r="B35" s="66"/>
      <c r="C35" s="66"/>
      <c r="D35" s="66"/>
    </row>
    <row r="36" spans="1:4" ht="30" customHeight="1" x14ac:dyDescent="0.2">
      <c r="A36" s="9"/>
      <c r="B36" s="66"/>
      <c r="C36" s="66"/>
      <c r="D36" s="66"/>
    </row>
    <row r="37" spans="1:4" ht="30" customHeight="1" x14ac:dyDescent="0.2">
      <c r="A37" s="9"/>
      <c r="B37" s="37" t="s">
        <v>27</v>
      </c>
      <c r="C37" s="37" t="s">
        <v>22</v>
      </c>
      <c r="D37" s="66"/>
    </row>
    <row r="38" spans="1:4" ht="30" customHeight="1" x14ac:dyDescent="0.2">
      <c r="A38" s="9"/>
      <c r="B38" s="10" t="s">
        <v>28</v>
      </c>
      <c r="C38" s="21">
        <v>150</v>
      </c>
      <c r="D38" s="66"/>
    </row>
    <row r="39" spans="1:4" ht="30" customHeight="1" x14ac:dyDescent="0.2">
      <c r="A39" s="9"/>
      <c r="B39" s="19" t="s">
        <v>29</v>
      </c>
      <c r="C39" s="20">
        <v>6</v>
      </c>
      <c r="D39" s="66"/>
    </row>
    <row r="40" spans="1:4" ht="30" customHeight="1" x14ac:dyDescent="0.2">
      <c r="A40" s="9"/>
      <c r="B40" s="10" t="s">
        <v>30</v>
      </c>
      <c r="C40" s="13">
        <v>50</v>
      </c>
      <c r="D40" s="66"/>
    </row>
    <row r="41" spans="1:4" ht="30" customHeight="1" x14ac:dyDescent="0.2">
      <c r="A41" s="9"/>
      <c r="B41" s="16" t="s">
        <v>31</v>
      </c>
      <c r="C41" s="18">
        <v>80</v>
      </c>
      <c r="D41" s="66"/>
    </row>
    <row r="42" spans="1:4" ht="30" customHeight="1" x14ac:dyDescent="0.2">
      <c r="A42" s="9"/>
      <c r="B42" s="10" t="s">
        <v>32</v>
      </c>
      <c r="C42" s="14">
        <v>25</v>
      </c>
      <c r="D42" s="66"/>
    </row>
    <row r="43" spans="1:4" ht="30" customHeight="1" x14ac:dyDescent="0.2">
      <c r="A43" s="9"/>
      <c r="B43" s="16" t="s">
        <v>33</v>
      </c>
      <c r="C43" s="20">
        <v>15</v>
      </c>
      <c r="D43" s="66"/>
    </row>
    <row r="44" spans="1:4" ht="30" customHeight="1" x14ac:dyDescent="0.2">
      <c r="A44" s="9"/>
      <c r="B44" s="24" t="s">
        <v>34</v>
      </c>
      <c r="C44" s="25">
        <f>(C39*C42)*C38+(C40*C41)*C41</f>
        <v>342500</v>
      </c>
      <c r="D44" s="66"/>
    </row>
    <row r="45" spans="1:4" ht="30" customHeight="1" x14ac:dyDescent="0.2">
      <c r="A45" s="9"/>
      <c r="B45" s="7" t="s">
        <v>20</v>
      </c>
      <c r="C45" s="82">
        <f>SUM(C44*12*3)</f>
        <v>12330000</v>
      </c>
      <c r="D45" s="66"/>
    </row>
    <row r="46" spans="1:4" ht="30" customHeight="1" x14ac:dyDescent="0.2">
      <c r="A46" s="9"/>
      <c r="B46" s="66"/>
      <c r="C46" s="66"/>
      <c r="D46" s="66"/>
    </row>
    <row r="47" spans="1:4" ht="30" customHeight="1" x14ac:dyDescent="0.2">
      <c r="A47" s="9"/>
      <c r="B47" s="66"/>
      <c r="C47" s="66"/>
      <c r="D47" s="66"/>
    </row>
    <row r="48" spans="1:4" ht="30" customHeight="1" x14ac:dyDescent="0.2">
      <c r="A48" s="9"/>
      <c r="B48" s="37" t="s">
        <v>35</v>
      </c>
      <c r="C48" s="37" t="s">
        <v>22</v>
      </c>
      <c r="D48" s="66"/>
    </row>
    <row r="49" spans="1:5" ht="30" customHeight="1" x14ac:dyDescent="0.2">
      <c r="A49" s="9"/>
      <c r="B49" s="10" t="s">
        <v>36</v>
      </c>
      <c r="C49" s="11">
        <v>2000000</v>
      </c>
      <c r="D49" s="66"/>
    </row>
    <row r="50" spans="1:5" ht="30" customHeight="1" x14ac:dyDescent="0.2">
      <c r="A50" s="9"/>
      <c r="B50" s="16" t="s">
        <v>37</v>
      </c>
      <c r="C50" s="15">
        <v>0.25</v>
      </c>
      <c r="D50" s="66"/>
    </row>
    <row r="51" spans="1:5" ht="30" customHeight="1" x14ac:dyDescent="0.2">
      <c r="A51" s="9"/>
      <c r="B51" s="10" t="s">
        <v>38</v>
      </c>
      <c r="C51" s="12">
        <v>0.4</v>
      </c>
      <c r="D51" s="66"/>
    </row>
    <row r="52" spans="1:5" ht="30" customHeight="1" x14ac:dyDescent="0.2">
      <c r="A52" s="9"/>
      <c r="B52" s="16" t="s">
        <v>39</v>
      </c>
      <c r="C52" s="17">
        <v>1000</v>
      </c>
      <c r="D52" s="66"/>
    </row>
    <row r="53" spans="1:5" ht="30" customHeight="1" x14ac:dyDescent="0.2">
      <c r="A53" s="9"/>
      <c r="B53" s="10" t="s">
        <v>40</v>
      </c>
      <c r="C53" s="14">
        <v>25</v>
      </c>
      <c r="D53" s="66"/>
    </row>
    <row r="54" spans="1:5" ht="30" customHeight="1" x14ac:dyDescent="0.2">
      <c r="A54" s="9"/>
      <c r="B54" s="64" t="s">
        <v>41</v>
      </c>
      <c r="C54" s="67">
        <f>C53* C40*C41</f>
        <v>100000</v>
      </c>
      <c r="D54" s="66"/>
    </row>
    <row r="55" spans="1:5" ht="30" customHeight="1" x14ac:dyDescent="0.2">
      <c r="A55" s="9"/>
      <c r="B55" s="68" t="s">
        <v>42</v>
      </c>
      <c r="C55" s="69">
        <v>400</v>
      </c>
      <c r="D55" s="66"/>
    </row>
    <row r="56" spans="1:5" ht="12.75" customHeight="1" x14ac:dyDescent="0.2">
      <c r="A56" s="9"/>
      <c r="B56" s="70"/>
      <c r="C56" s="70"/>
      <c r="D56" s="66"/>
    </row>
    <row r="57" spans="1:5" ht="30" customHeight="1" x14ac:dyDescent="0.2">
      <c r="A57" s="9"/>
      <c r="B57" s="93" t="s">
        <v>2</v>
      </c>
      <c r="C57" s="94"/>
      <c r="D57" s="66"/>
    </row>
    <row r="58" spans="1:5" ht="30" customHeight="1" x14ac:dyDescent="0.2">
      <c r="A58" s="9"/>
      <c r="B58" s="70"/>
      <c r="C58" s="70"/>
      <c r="D58" s="66"/>
    </row>
    <row r="59" spans="1:5" ht="30" customHeight="1" x14ac:dyDescent="0.15">
      <c r="B59" s="72" t="s">
        <v>43</v>
      </c>
      <c r="C59" s="71"/>
      <c r="D59" s="61"/>
    </row>
    <row r="60" spans="1:5" ht="30" customHeight="1" x14ac:dyDescent="0.2">
      <c r="B60" s="70"/>
      <c r="C60" s="70"/>
      <c r="D60" s="66"/>
    </row>
    <row r="61" spans="1:5" ht="30" customHeight="1" x14ac:dyDescent="0.2">
      <c r="B61" s="35" t="s">
        <v>44</v>
      </c>
      <c r="C61" s="35" t="s">
        <v>45</v>
      </c>
      <c r="D61" s="66"/>
    </row>
    <row r="62" spans="1:5" ht="30" customHeight="1" x14ac:dyDescent="0.2">
      <c r="B62" s="54" t="s">
        <v>46</v>
      </c>
      <c r="C62" s="55">
        <f>C50*0.3+C50</f>
        <v>0.32500000000000001</v>
      </c>
      <c r="D62" s="66"/>
      <c r="E62" s="2" t="s">
        <v>47</v>
      </c>
    </row>
    <row r="63" spans="1:5" ht="30" customHeight="1" x14ac:dyDescent="0.2">
      <c r="B63" s="54" t="s">
        <v>48</v>
      </c>
      <c r="C63" s="73">
        <f>C51*0.61+C51</f>
        <v>0.64400000000000002</v>
      </c>
      <c r="D63" s="66"/>
      <c r="E63" s="2" t="s">
        <v>49</v>
      </c>
    </row>
    <row r="64" spans="1:5" ht="30" customHeight="1" x14ac:dyDescent="0.2">
      <c r="B64" s="54" t="s">
        <v>50</v>
      </c>
      <c r="C64" s="56">
        <f>C49*0.2</f>
        <v>400000</v>
      </c>
      <c r="D64" s="66"/>
      <c r="E64" s="2" t="s">
        <v>51</v>
      </c>
    </row>
    <row r="65" spans="2:5" ht="30" customHeight="1" x14ac:dyDescent="0.2">
      <c r="B65" s="54" t="s">
        <v>52</v>
      </c>
      <c r="C65" s="56">
        <f>C44*0.25*12</f>
        <v>1027500</v>
      </c>
      <c r="D65" s="66"/>
    </row>
    <row r="66" spans="2:5" ht="30" customHeight="1" x14ac:dyDescent="0.2">
      <c r="B66" s="54" t="s">
        <v>53</v>
      </c>
      <c r="C66" s="56">
        <f>C54*0.15*12</f>
        <v>180000</v>
      </c>
      <c r="D66" s="66"/>
    </row>
    <row r="67" spans="2:5" ht="30" customHeight="1" x14ac:dyDescent="0.2">
      <c r="B67" s="36" t="s">
        <v>54</v>
      </c>
      <c r="C67" s="83">
        <f>SUM(C64:C66)</f>
        <v>1607500</v>
      </c>
      <c r="D67" s="66"/>
      <c r="E67" s="6"/>
    </row>
    <row r="68" spans="2:5" ht="30" customHeight="1" x14ac:dyDescent="0.2">
      <c r="B68" s="70"/>
      <c r="C68" s="70"/>
      <c r="D68" s="66"/>
    </row>
    <row r="69" spans="2:5" ht="30" customHeight="1" x14ac:dyDescent="0.2">
      <c r="B69" s="70"/>
      <c r="C69" s="70"/>
      <c r="D69" s="66"/>
    </row>
    <row r="70" spans="2:5" ht="30" customHeight="1" x14ac:dyDescent="0.2">
      <c r="B70" s="34" t="s">
        <v>55</v>
      </c>
      <c r="C70" s="34" t="s">
        <v>56</v>
      </c>
      <c r="D70" s="66"/>
    </row>
    <row r="71" spans="2:5" ht="30" customHeight="1" x14ac:dyDescent="0.2">
      <c r="B71" s="31" t="s">
        <v>57</v>
      </c>
      <c r="C71" s="32">
        <f>C65+C66</f>
        <v>1207500</v>
      </c>
      <c r="D71" s="66"/>
    </row>
    <row r="72" spans="2:5" ht="30" customHeight="1" x14ac:dyDescent="0.2">
      <c r="B72" s="31" t="s">
        <v>58</v>
      </c>
      <c r="C72" s="74">
        <f>C33-C19</f>
        <v>16275</v>
      </c>
      <c r="D72" s="66"/>
    </row>
    <row r="73" spans="2:5" ht="30" customHeight="1" x14ac:dyDescent="0.2">
      <c r="B73" s="31" t="s">
        <v>59</v>
      </c>
      <c r="C73" s="33">
        <f>C64</f>
        <v>400000</v>
      </c>
      <c r="D73" s="66"/>
    </row>
    <row r="74" spans="2:5" ht="30" customHeight="1" x14ac:dyDescent="0.2">
      <c r="B74" s="70"/>
      <c r="C74" s="84">
        <f>SUM(C71:C73)</f>
        <v>1623775</v>
      </c>
      <c r="D74" s="66"/>
    </row>
    <row r="75" spans="2:5" ht="30" customHeight="1" x14ac:dyDescent="0.2">
      <c r="B75" s="70"/>
      <c r="C75" s="70"/>
      <c r="D75" s="66"/>
    </row>
    <row r="76" spans="2:5" ht="30" customHeight="1" x14ac:dyDescent="0.2">
      <c r="B76" s="75" t="s">
        <v>60</v>
      </c>
      <c r="C76" s="75" t="s">
        <v>61</v>
      </c>
      <c r="D76" s="66"/>
    </row>
    <row r="77" spans="2:5" ht="30" customHeight="1" x14ac:dyDescent="0.2">
      <c r="B77" s="76" t="s">
        <v>62</v>
      </c>
      <c r="C77" s="77">
        <f>C55*75</f>
        <v>30000</v>
      </c>
      <c r="D77" s="66"/>
    </row>
    <row r="78" spans="2:5" ht="30" customHeight="1" x14ac:dyDescent="0.2">
      <c r="B78" s="76" t="s">
        <v>63</v>
      </c>
      <c r="C78" s="77">
        <f>C74-C77</f>
        <v>1593775</v>
      </c>
      <c r="D78" s="66"/>
    </row>
    <row r="79" spans="2:5" ht="30" customHeight="1" x14ac:dyDescent="0.2">
      <c r="B79" s="78" t="s">
        <v>64</v>
      </c>
      <c r="C79" s="85">
        <f>C78*3</f>
        <v>4781325</v>
      </c>
      <c r="D79" s="66"/>
    </row>
    <row r="80" spans="2:5" x14ac:dyDescent="0.15">
      <c r="B80" s="8"/>
      <c r="C80" s="8"/>
    </row>
    <row r="81" spans="2:3" x14ac:dyDescent="0.15">
      <c r="B81" s="8"/>
      <c r="C81" s="8"/>
    </row>
    <row r="82" spans="2:3" x14ac:dyDescent="0.15">
      <c r="B82" s="8"/>
      <c r="C82" s="8"/>
    </row>
    <row r="83" spans="2:3" x14ac:dyDescent="0.15">
      <c r="B83" s="8"/>
      <c r="C83" s="8"/>
    </row>
  </sheetData>
  <protectedRanges>
    <protectedRange algorithmName="SHA-512" hashValue="798qecCMq+PI2WreprF+gdivFCpVGrv9Tdr7qNjPiU5QkOBibL7VIvGEQebFQtKEAqK6HFrbch8vyTCo12P/Wg==" saltValue="jVxIQCXeYF1nV8QTxoT/zg==" spinCount="100000" sqref="C31 C73 C15:D16 C43 C53 C22:D22" name="Range4"/>
    <protectedRange algorithmName="SHA-512" hashValue="+9wFeHHozErwuZnwtTMcW3AgNnIMwnsbCoo+ivZdvAC57CPOwU+MfiTjtZwNh3qMu9ZgAPOPcJl0q2W5G1Y43A==" saltValue="koUilzf0fp3Ztyr9il9t5A==" spinCount="100000" sqref="C42 C18:D18 C63 C14:D14 C30 C72" name="Range2"/>
    <protectedRange algorithmName="SHA-512" hashValue="UicrLcVzl+Acz0dKg0KI2+/peGG2Tl0Ans/c4sbowGTwwJq631MFes5yrwUxq1fQS0AaPdcNkDQMUXHTAWS/gA==" saltValue="5kPRAjHGXLbe9hQPr1lFSg==" spinCount="100000" sqref="C11:D12 C27:C28 C62 C64:C66 C49:C52 C38:C41 C71" name="Range1"/>
    <protectedRange algorithmName="SHA-512" hashValue="As4x1ukkm+h84uB0lW9MwOZMbU/LbJifV/WWnEUqY0ShgGnK312xkRTP89HDQIWYsorabRYon4onkruYshuKOg==" saltValue="yz86H/BV7WAgtqK5d10QRw==" spinCount="100000" sqref="C20:D20" name="Range3"/>
  </protectedRanges>
  <mergeCells count="3">
    <mergeCell ref="C5:D5"/>
    <mergeCell ref="C7:D7"/>
    <mergeCell ref="B57:C5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Rechner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Moss</dc:creator>
  <cp:keywords/>
  <dc:description/>
  <cp:lastModifiedBy>Sarah Friedlander Garcia</cp:lastModifiedBy>
  <cp:revision/>
  <dcterms:created xsi:type="dcterms:W3CDTF">2023-05-18T19:11:38Z</dcterms:created>
  <dcterms:modified xsi:type="dcterms:W3CDTF">2024-09-09T15:54:27Z</dcterms:modified>
  <cp:category/>
  <cp:contentStatus/>
</cp:coreProperties>
</file>